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nozares_statistika/MAJASLAPAI/2024_4/"/>
    </mc:Choice>
  </mc:AlternateContent>
  <xr:revisionPtr revIDLastSave="74" documentId="8_{101C1AD6-A972-41D6-AAA1-67305DFFFF9E}" xr6:coauthVersionLast="47" xr6:coauthVersionMax="47" xr10:uidLastSave="{451EB9B3-A801-4E1A-8CF3-2B30B4A17C0A}"/>
  <bookViews>
    <workbookView xWindow="-108" yWindow="-108" windowWidth="23256" windowHeight="12456" xr2:uid="{00000000-000D-0000-FFFF-FFFF00000000}"/>
  </bookViews>
  <sheets>
    <sheet name="2007-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4" l="1"/>
  <c r="T8" i="4"/>
  <c r="T7" i="4"/>
  <c r="T6" i="4"/>
  <c r="T5" i="4"/>
  <c r="T11" i="4" l="1"/>
  <c r="S9" i="4"/>
  <c r="S8" i="4"/>
  <c r="S7" i="4"/>
  <c r="S6" i="4"/>
  <c r="S5" i="4"/>
  <c r="R11" i="4"/>
  <c r="Q9" i="4"/>
  <c r="R9" i="4"/>
  <c r="Q8" i="4"/>
  <c r="R8" i="4"/>
  <c r="R7" i="4"/>
  <c r="Q7" i="4"/>
  <c r="Q6" i="4"/>
  <c r="R6" i="4"/>
  <c r="R5" i="4"/>
  <c r="Q5" i="4"/>
  <c r="S11" i="4" l="1"/>
  <c r="Q11" i="4"/>
  <c r="P6" i="4"/>
  <c r="P8" i="4"/>
  <c r="P9" i="4"/>
  <c r="P7" i="4"/>
  <c r="P5" i="4"/>
  <c r="P11" i="4" s="1"/>
  <c r="O11" i="4" l="1"/>
  <c r="I11" i="4" l="1"/>
  <c r="J11" i="4"/>
  <c r="K11" i="4"/>
  <c r="L11" i="4"/>
  <c r="M11" i="4"/>
  <c r="N11" i="4"/>
  <c r="H10" i="4" l="1"/>
  <c r="G10" i="4"/>
  <c r="F10" i="4"/>
  <c r="E10" i="4"/>
  <c r="D10" i="4"/>
  <c r="C10" i="4"/>
  <c r="H8" i="4"/>
  <c r="G8" i="4"/>
  <c r="F8" i="4"/>
  <c r="E8" i="4"/>
  <c r="D8" i="4"/>
  <c r="C8" i="4"/>
  <c r="H7" i="4"/>
  <c r="G7" i="4"/>
  <c r="F7" i="4"/>
  <c r="E7" i="4"/>
  <c r="D7" i="4"/>
  <c r="C7" i="4"/>
  <c r="H6" i="4"/>
  <c r="G6" i="4"/>
  <c r="F6" i="4"/>
  <c r="E6" i="4"/>
  <c r="D6" i="4"/>
  <c r="C6" i="4"/>
  <c r="H5" i="4"/>
  <c r="G5" i="4"/>
  <c r="F5" i="4"/>
  <c r="E5" i="4"/>
  <c r="D5" i="4"/>
  <c r="C5" i="4"/>
  <c r="C11" i="4" l="1"/>
  <c r="D11" i="4"/>
  <c r="F11" i="4"/>
  <c r="H11" i="4"/>
  <c r="E11" i="4"/>
  <c r="G11" i="4"/>
</calcChain>
</file>

<file path=xl/sharedStrings.xml><?xml version="1.0" encoding="utf-8"?>
<sst xmlns="http://schemas.openxmlformats.org/spreadsheetml/2006/main" count="28" uniqueCount="28">
  <si>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</si>
  <si>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</si>
  <si>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</si>
  <si>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</si>
  <si>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</si>
  <si>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</si>
  <si>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</si>
  <si>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</si>
  <si>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</si>
  <si>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</si>
  <si>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2007.</t>
  </si>
  <si>
    <t xml:space="preserve">* </t>
  </si>
  <si>
    <t>2018.</t>
  </si>
  <si>
    <t xml:space="preserve"> </t>
  </si>
  <si>
    <t xml:space="preserve"> ieņēmumi no azartspēļu automātiem</t>
  </si>
  <si>
    <t xml:space="preserve"> ieņēmumi no azartspēļu kazino galdiem</t>
  </si>
  <si>
    <t>ieņēmumi no bingo spēles organizēšanas</t>
  </si>
  <si>
    <t xml:space="preserve"> ieņēmumi no totalizatora organizēšanas</t>
  </si>
  <si>
    <t xml:space="preserve"> ieņēmumi no veiksmes spēles pa tālruni</t>
  </si>
  <si>
    <t>Ieņēmumi no azartspēļu organizēšanas</t>
  </si>
  <si>
    <t>interaktīvo azartspēļu  ieņēmumi</t>
  </si>
  <si>
    <t>2019.</t>
  </si>
  <si>
    <t>2020.</t>
  </si>
  <si>
    <t>2021.</t>
  </si>
  <si>
    <t>2022.</t>
  </si>
  <si>
    <t>2023.</t>
  </si>
  <si>
    <t>2024.</t>
  </si>
  <si>
    <t>Neto ieņēmumi no azartspēlēm  2007.-2024.gadam (milj.euro)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</si>
</sst>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165" fontId="0" fillId="0" borderId="2" xfId="0" applyNumberFormat="1" applyBorder="1"/>
    <xf numFmtId="164" fontId="0" fillId="0" borderId="2" xfId="0" applyNumberFormat="1" applyBorder="1"/>
    <xf numFmtId="0" fontId="0" fillId="0" borderId="1" xfId="0" applyBorder="1" applyAlignment="1">
      <alignment wrapText="1"/>
    </xf>
    <xf numFmtId="165" fontId="0" fillId="0" borderId="2" xfId="0" applyNumberFormat="1" applyBorder="1" applyAlignment="1">
      <alignment wrapText="1"/>
    </xf>
    <xf numFmtId="0" fontId="0" fillId="0" borderId="4" xfId="0" applyBorder="1"/>
    <xf numFmtId="165" fontId="0" fillId="0" borderId="4" xfId="0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164" fontId="0" fillId="0" borderId="9" xfId="0" applyNumberFormat="1" applyBorder="1"/>
    <xf numFmtId="165" fontId="0" fillId="0" borderId="3" xfId="0" applyNumberFormat="1" applyBorder="1"/>
    <xf numFmtId="164" fontId="0" fillId="0" borderId="11" xfId="0" applyNumberFormat="1" applyBorder="1"/>
    <xf numFmtId="16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0" borderId="12" xfId="0" applyNumberFormat="1" applyBorder="1"/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 xr:uid="{0751F519-4985-4068-8E99-4932B7043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Ieņēmumi no azartspēlēm no 2007.-20</a:t>
            </a:r>
            <a:r>
              <a:rPr lang="en-GB"/>
              <a:t>2</a:t>
            </a:r>
            <a:r>
              <a:rPr lang="lv-LV"/>
              <a:t>4.gadam (milj. euro)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9974049512115097"/>
          <c:y val="1.7781873493317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19914266563037838"/>
          <c:y val="0.1082505204090868"/>
          <c:w val="0.7811517879659795"/>
          <c:h val="0.624569141500990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'2007-2024'!$B$5</c:f>
              <c:strCache>
                <c:ptCount val="1"/>
                <c:pt idx="0">
                  <c:v> ieņēmumi no azartspēļu automātiem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'2007-2024'!$C$5:$T$5</c:f>
              <c:numCache>
                <c:formatCode>#\ ##0.000</c:formatCode>
                <c:ptCount val="18"/>
                <c:pt idx="0" formatCode="0.000">
                  <c:v>214.26884309138822</c:v>
                </c:pt>
                <c:pt idx="1">
                  <c:v>184.51374778743434</c:v>
                </c:pt>
                <c:pt idx="2">
                  <c:v>101.20460327488175</c:v>
                </c:pt>
                <c:pt idx="3">
                  <c:v>100.76209014177495</c:v>
                </c:pt>
                <c:pt idx="4">
                  <c:v>118.25060756626314</c:v>
                </c:pt>
                <c:pt idx="5">
                  <c:v>134.82564128832504</c:v>
                </c:pt>
                <c:pt idx="6">
                  <c:v>142.04499999999999</c:v>
                </c:pt>
                <c:pt idx="7">
                  <c:v>152.50200000000001</c:v>
                </c:pt>
                <c:pt idx="8">
                  <c:v>173.89699999999999</c:v>
                </c:pt>
                <c:pt idx="9">
                  <c:v>182.06</c:v>
                </c:pt>
                <c:pt idx="10">
                  <c:v>199.75200000000001</c:v>
                </c:pt>
                <c:pt idx="11" formatCode="General">
                  <c:v>216.923</c:v>
                </c:pt>
                <c:pt idx="12">
                  <c:v>231.596</c:v>
                </c:pt>
                <c:pt idx="13">
                  <c:v>95.788250000000005</c:v>
                </c:pt>
                <c:pt idx="14">
                  <c:v>17.177997000000001</c:v>
                </c:pt>
                <c:pt idx="15">
                  <c:v>131.12947890000001</c:v>
                </c:pt>
                <c:pt idx="16">
                  <c:v>138.99666400000001</c:v>
                </c:pt>
                <c:pt idx="17">
                  <c:v>130.97084551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68-A3F9-A28127FC88A0}"/>
            </c:ext>
          </c:extLst>
        </c:ser>
        <c:ser>
          <c:idx val="2"/>
          <c:order val="1"/>
          <c:tx>
            <c:strRef>
              <c:f>'2007-2024'!$B$6</c:f>
              <c:strCache>
                <c:ptCount val="1"/>
                <c:pt idx="0">
                  <c:v> ieņēmumi no azartspēļu kazino galdiem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'2007-2024'!$C$6:$T$6</c:f>
              <c:numCache>
                <c:formatCode>#\ ##0.000</c:formatCode>
                <c:ptCount val="18"/>
                <c:pt idx="0" formatCode="0.000">
                  <c:v>21.249167619990779</c:v>
                </c:pt>
                <c:pt idx="1">
                  <c:v>17.482825937245664</c:v>
                </c:pt>
                <c:pt idx="2">
                  <c:v>9.9657941616723864</c:v>
                </c:pt>
                <c:pt idx="3">
                  <c:v>9.7295974411073356</c:v>
                </c:pt>
                <c:pt idx="4">
                  <c:v>10.890660838583731</c:v>
                </c:pt>
                <c:pt idx="5">
                  <c:v>11.993386491824179</c:v>
                </c:pt>
                <c:pt idx="6">
                  <c:v>11.574</c:v>
                </c:pt>
                <c:pt idx="7">
                  <c:v>12.657</c:v>
                </c:pt>
                <c:pt idx="8">
                  <c:v>14.173</c:v>
                </c:pt>
                <c:pt idx="9">
                  <c:v>16.009</c:v>
                </c:pt>
                <c:pt idx="10">
                  <c:v>17.908999999999999</c:v>
                </c:pt>
                <c:pt idx="11" formatCode="General">
                  <c:v>16.649000000000001</c:v>
                </c:pt>
                <c:pt idx="12">
                  <c:v>17.315000000000001</c:v>
                </c:pt>
                <c:pt idx="13">
                  <c:v>5.3226360000000001</c:v>
                </c:pt>
                <c:pt idx="14">
                  <c:v>1.5693195</c:v>
                </c:pt>
                <c:pt idx="15">
                  <c:v>8.2008980000000005</c:v>
                </c:pt>
                <c:pt idx="16">
                  <c:v>11.079836999999999</c:v>
                </c:pt>
                <c:pt idx="17">
                  <c:v>12.25299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F-4D68-A3F9-A28127FC88A0}"/>
            </c:ext>
          </c:extLst>
        </c:ser>
        <c:ser>
          <c:idx val="3"/>
          <c:order val="2"/>
          <c:tx>
            <c:strRef>
              <c:f>'2007-2024'!$B$7</c:f>
              <c:strCache>
                <c:ptCount val="1"/>
                <c:pt idx="0">
                  <c:v>ieņēmumi no bingo spēles organizēšanas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'2007-2024'!$C$7:$T$7</c:f>
              <c:numCache>
                <c:formatCode>#\ ##0.000</c:formatCode>
                <c:ptCount val="18"/>
                <c:pt idx="0" formatCode="0.000">
                  <c:v>1.9208769443543294</c:v>
                </c:pt>
                <c:pt idx="1">
                  <c:v>1.7857041223442096</c:v>
                </c:pt>
                <c:pt idx="2">
                  <c:v>0.9462097540708363</c:v>
                </c:pt>
                <c:pt idx="3">
                  <c:v>0.70716728988451971</c:v>
                </c:pt>
                <c:pt idx="4">
                  <c:v>0.71712739255894964</c:v>
                </c:pt>
                <c:pt idx="5">
                  <c:v>0.46385621026630469</c:v>
                </c:pt>
                <c:pt idx="6">
                  <c:v>0.34300000000000003</c:v>
                </c:pt>
                <c:pt idx="7">
                  <c:v>0.374</c:v>
                </c:pt>
                <c:pt idx="8">
                  <c:v>0.35399999999999998</c:v>
                </c:pt>
                <c:pt idx="9">
                  <c:v>0.33300000000000002</c:v>
                </c:pt>
                <c:pt idx="10">
                  <c:v>0.28299999999999997</c:v>
                </c:pt>
                <c:pt idx="11" formatCode="General">
                  <c:v>0.215</c:v>
                </c:pt>
                <c:pt idx="12">
                  <c:v>0.23200000000000001</c:v>
                </c:pt>
                <c:pt idx="13">
                  <c:v>0.121255</c:v>
                </c:pt>
                <c:pt idx="14">
                  <c:v>-2.4060000000000002E-3</c:v>
                </c:pt>
                <c:pt idx="15">
                  <c:v>7.9693E-2</c:v>
                </c:pt>
                <c:pt idx="16">
                  <c:v>0.10127800000000001</c:v>
                </c:pt>
                <c:pt idx="17">
                  <c:v>9.7096000000000002E-2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F-4D68-A3F9-A28127FC88A0}"/>
            </c:ext>
          </c:extLst>
        </c:ser>
        <c:ser>
          <c:idx val="4"/>
          <c:order val="3"/>
          <c:tx>
            <c:strRef>
              <c:f>'2007-2024'!$B$8</c:f>
              <c:strCache>
                <c:ptCount val="1"/>
                <c:pt idx="0">
                  <c:v> ieņēmumi no totalizatora organizēšanas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'2007-2024'!$C$8:$T$8</c:f>
              <c:numCache>
                <c:formatCode>#\ ##0.000</c:formatCode>
                <c:ptCount val="18"/>
                <c:pt idx="0" formatCode="0.000">
                  <c:v>11.74865254039533</c:v>
                </c:pt>
                <c:pt idx="1">
                  <c:v>14.467760570514681</c:v>
                </c:pt>
                <c:pt idx="2">
                  <c:v>1.1425660639381678</c:v>
                </c:pt>
                <c:pt idx="3">
                  <c:v>1.4812095548687827</c:v>
                </c:pt>
                <c:pt idx="4">
                  <c:v>2.0603183817963471</c:v>
                </c:pt>
                <c:pt idx="5">
                  <c:v>2.9368074171461744</c:v>
                </c:pt>
                <c:pt idx="6">
                  <c:v>1.504</c:v>
                </c:pt>
                <c:pt idx="7">
                  <c:v>1.5980000000000001</c:v>
                </c:pt>
                <c:pt idx="8">
                  <c:v>1.875</c:v>
                </c:pt>
                <c:pt idx="9">
                  <c:v>2.125</c:v>
                </c:pt>
                <c:pt idx="10">
                  <c:v>2.387</c:v>
                </c:pt>
                <c:pt idx="11" formatCode="General">
                  <c:v>2.7589999999999999</c:v>
                </c:pt>
                <c:pt idx="12">
                  <c:v>3.2229999999999999</c:v>
                </c:pt>
                <c:pt idx="13">
                  <c:v>1.5610660000000001</c:v>
                </c:pt>
                <c:pt idx="14">
                  <c:v>0.24491599999999999</c:v>
                </c:pt>
                <c:pt idx="15">
                  <c:v>1.3771929999999999</c:v>
                </c:pt>
                <c:pt idx="16">
                  <c:v>1.6690929999999999</c:v>
                </c:pt>
                <c:pt idx="17">
                  <c:v>2.2119461199999999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F-4D68-A3F9-A28127FC88A0}"/>
            </c:ext>
          </c:extLst>
        </c:ser>
        <c:ser>
          <c:idx val="5"/>
          <c:order val="4"/>
          <c:tx>
            <c:strRef>
              <c:f>'2007-2024'!$B$9</c:f>
              <c:strCache>
                <c:ptCount val="1"/>
                <c:pt idx="0">
                  <c:v>interaktīvo azartspēļu  ieņēmumi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'2007-2024'!$C$9:$T$9</c:f>
              <c:numCache>
                <c:formatCode>#\ ##0.000</c:formatCode>
                <c:ptCount val="18"/>
                <c:pt idx="0" formatCode="0.0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2.097</c:v>
                </c:pt>
                <c:pt idx="7">
                  <c:v>5.7569999999999997</c:v>
                </c:pt>
                <c:pt idx="8">
                  <c:v>11.456</c:v>
                </c:pt>
                <c:pt idx="9">
                  <c:v>18.32</c:v>
                </c:pt>
                <c:pt idx="10">
                  <c:v>28.288</c:v>
                </c:pt>
                <c:pt idx="11" formatCode="General">
                  <c:v>41.155000000000001</c:v>
                </c:pt>
                <c:pt idx="12">
                  <c:v>54.683999999999997</c:v>
                </c:pt>
                <c:pt idx="13">
                  <c:v>56.854255999999999</c:v>
                </c:pt>
                <c:pt idx="14">
                  <c:v>109.054058</c:v>
                </c:pt>
                <c:pt idx="15">
                  <c:v>123.98770534000001</c:v>
                </c:pt>
                <c:pt idx="16">
                  <c:v>136.78586000000001</c:v>
                </c:pt>
                <c:pt idx="17">
                  <c:v>153.91128409999999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F-4D68-A3F9-A28127FC88A0}"/>
            </c:ext>
          </c:extLst>
        </c:ser>
        <c:ser>
          <c:idx val="6"/>
          <c:order val="5"/>
          <c:tx>
            <c:strRef>
              <c:f>'2007-2024'!$B$10</c:f>
              <c:strCache>
                <c:ptCount val="1"/>
                <c:pt idx="0">
                  <c:v> ieņēmumi no veiksmes spēles pa tālruni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'2007-2024'!$C$10:$T$10</c:f>
              <c:numCache>
                <c:formatCode>#\ ##0.000</c:formatCode>
                <c:ptCount val="18"/>
                <c:pt idx="0" formatCode="0.000">
                  <c:v>0.89356349707742133</c:v>
                </c:pt>
                <c:pt idx="1">
                  <c:v>2.1584965367300128</c:v>
                </c:pt>
                <c:pt idx="2">
                  <c:v>4.3127244580281276</c:v>
                </c:pt>
                <c:pt idx="3">
                  <c:v>1.2023266799847467</c:v>
                </c:pt>
                <c:pt idx="4">
                  <c:v>0.47950780018326594</c:v>
                </c:pt>
                <c:pt idx="5">
                  <c:v>0.11382974485062693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F-4D68-A3F9-A28127FC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631968"/>
        <c:axId val="236633144"/>
      </c:barChart>
      <c:lineChart>
        <c:grouping val="standard"/>
        <c:varyColors val="0"/>
        <c:ser>
          <c:idx val="0"/>
          <c:order val="6"/>
          <c:tx>
            <c:strRef>
              <c:f>'2007-2024'!$B$11</c:f>
              <c:strCache>
                <c:ptCount val="1"/>
                <c:pt idx="0">
                  <c:v>Ieņēmumi no azartspēļu organizēšanas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'2007-2024'!$C$4:$T$4</c:f>
              <c:strCache>
                <c:ptCount val="18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  <c:pt idx="12">
                  <c:v>2019.</c:v>
                </c:pt>
                <c:pt idx="13">
                  <c:v>2020.</c:v>
                </c:pt>
                <c:pt idx="14">
                  <c:v>2021.</c:v>
                </c:pt>
                <c:pt idx="15">
                  <c:v>2022.</c:v>
                </c:pt>
                <c:pt idx="16">
                  <c:v>2023.</c:v>
                </c:pt>
                <c:pt idx="17">
                  <c:v>2024.</c:v>
                </c:pt>
              </c:strCache>
            </c:strRef>
          </c:cat>
          <c:val>
            <c:numRef>
              <c:f>'2007-2024'!$C$11:$T$11</c:f>
              <c:numCache>
                <c:formatCode>0.000</c:formatCode>
                <c:ptCount val="18"/>
                <c:pt idx="0">
                  <c:v>250.08110369320607</c:v>
                </c:pt>
                <c:pt idx="1">
                  <c:v>220.4085349542689</c:v>
                </c:pt>
                <c:pt idx="2">
                  <c:v>117.57189771259127</c:v>
                </c:pt>
                <c:pt idx="3">
                  <c:v>113.88239110762034</c:v>
                </c:pt>
                <c:pt idx="4">
                  <c:v>132.39822197938543</c:v>
                </c:pt>
                <c:pt idx="5">
                  <c:v>150.33352115241232</c:v>
                </c:pt>
                <c:pt idx="6">
                  <c:v>157.56299999999999</c:v>
                </c:pt>
                <c:pt idx="7">
                  <c:v>172.88800000000003</c:v>
                </c:pt>
                <c:pt idx="8">
                  <c:v>201.755</c:v>
                </c:pt>
                <c:pt idx="9">
                  <c:v>218.84700000000001</c:v>
                </c:pt>
                <c:pt idx="10">
                  <c:v>248.619</c:v>
                </c:pt>
                <c:pt idx="11">
                  <c:v>277.70100000000002</c:v>
                </c:pt>
                <c:pt idx="12">
                  <c:v>307.05</c:v>
                </c:pt>
                <c:pt idx="13">
                  <c:v>159.64746300000002</c:v>
                </c:pt>
                <c:pt idx="14">
                  <c:v>128.04388449999999</c:v>
                </c:pt>
                <c:pt idx="15">
                  <c:v>264.77496824000002</c:v>
                </c:pt>
                <c:pt idx="16">
                  <c:v>288.63273200000003</c:v>
                </c:pt>
                <c:pt idx="17">
                  <c:v>299.44416173000002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EF-4D68-A3F9-A28127FC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31968"/>
        <c:axId val="236633144"/>
      </c:lineChart>
      <c:catAx>
        <c:axId val="23663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36633144"/>
        <c:crosses val="autoZero"/>
        <c:auto val="1"/>
        <c:lblAlgn val="ctr"/>
        <c:lblOffset val="100"/>
        <c:noMultiLvlLbl val="0"/>
      </c:catAx>
      <c:valAx>
        <c:axId val="23663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36631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lv-LV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586919</xdr:colOff>
      <xdr:row>1</xdr:row>
      <xdr:rowOff>32657</xdr:rowOff>
    </xdr:from>
    <xdr:to>
      <xdr:col>20</xdr:col>
      <xdr:colOff>21772</xdr:colOff>
      <xdr:row>28</xdr:row>
      <xdr:rowOff>119743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9"/>
  <sheetViews>
    <sheetView tabSelected="1" topLeftCell="B1" zoomScale="70" zoomScaleNormal="70" workbookViewId="0">
      <selection activeCell="R33" sqref="R33"/>
    </sheetView>
  </sheetViews>
  <sheetFormatPr defaultRowHeight="14.4" x14ac:dyDescent="0.3"/>
  <cols>
    <col min="2" max="2" width="43.33203125" customWidth="1"/>
    <col min="3" max="3" width="12.109375" customWidth="1"/>
    <col min="4" max="4" width="9.88671875" bestFit="1" customWidth="1"/>
    <col min="7" max="7" width="11.5546875" customWidth="1"/>
    <col min="8" max="12" width="9.88671875" bestFit="1" customWidth="1"/>
    <col min="16" max="16" width="9.88671875" bestFit="1" customWidth="1"/>
  </cols>
  <sheetData>
    <row r="2" spans="2:20" x14ac:dyDescent="0.3">
      <c r="C2" s="19" t="s">
        <v>27</v>
      </c>
      <c r="D2" s="19"/>
      <c r="E2" s="19"/>
      <c r="F2" s="19"/>
      <c r="G2" s="19"/>
      <c r="H2" s="19"/>
      <c r="I2" s="19"/>
      <c r="J2" s="19"/>
      <c r="K2" s="19"/>
      <c r="L2" s="19"/>
    </row>
    <row r="4" spans="2:20" x14ac:dyDescent="0.3">
      <c r="B4" s="8"/>
      <c r="C4" s="9" t="s">
        <v>10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12" t="s">
        <v>9</v>
      </c>
      <c r="N4" s="10" t="s">
        <v>12</v>
      </c>
      <c r="O4" s="16" t="s">
        <v>21</v>
      </c>
      <c r="P4" s="17" t="s">
        <v>22</v>
      </c>
      <c r="Q4" s="17" t="s">
        <v>23</v>
      </c>
      <c r="R4" s="17" t="s">
        <v>24</v>
      </c>
      <c r="S4" s="17" t="s">
        <v>25</v>
      </c>
      <c r="T4" s="17" t="s">
        <v>26</v>
      </c>
    </row>
    <row r="5" spans="2:20" x14ac:dyDescent="0.3">
      <c r="B5" s="1" t="s">
        <v>14</v>
      </c>
      <c r="C5" s="2">
        <f>150.589/0.702804</f>
        <v>214.26884309138822</v>
      </c>
      <c r="D5" s="3">
        <f>129.677/0.702804</f>
        <v>184.51374778743434</v>
      </c>
      <c r="E5" s="3">
        <f>71.127/0.702804</f>
        <v>101.20460327488175</v>
      </c>
      <c r="F5" s="3">
        <f>70.816/0.702804</f>
        <v>100.76209014177495</v>
      </c>
      <c r="G5" s="3">
        <f>83.107/0.702804</f>
        <v>118.25060756626314</v>
      </c>
      <c r="H5" s="3">
        <f>94.756/0.702804</f>
        <v>134.82564128832504</v>
      </c>
      <c r="I5" s="3">
        <v>142.04499999999999</v>
      </c>
      <c r="J5" s="3">
        <v>152.50200000000001</v>
      </c>
      <c r="K5" s="3">
        <v>173.89699999999999</v>
      </c>
      <c r="L5" s="3">
        <v>182.06</v>
      </c>
      <c r="M5" s="13">
        <v>199.75200000000001</v>
      </c>
      <c r="N5" s="11">
        <v>216.923</v>
      </c>
      <c r="O5" s="15">
        <v>231.596</v>
      </c>
      <c r="P5" s="15">
        <f>95788250/1000000</f>
        <v>95.788250000000005</v>
      </c>
      <c r="Q5" s="15">
        <f>17177997/1000000</f>
        <v>17.177997000000001</v>
      </c>
      <c r="R5" s="15">
        <f>131129478.9/1000000</f>
        <v>131.12947890000001</v>
      </c>
      <c r="S5" s="15">
        <f>138996664/1000000</f>
        <v>138.99666400000001</v>
      </c>
      <c r="T5" s="15">
        <f>130970845.51/1000000</f>
        <v>130.97084551</v>
      </c>
    </row>
    <row r="6" spans="2:20" x14ac:dyDescent="0.3">
      <c r="B6" s="1" t="s">
        <v>15</v>
      </c>
      <c r="C6" s="2">
        <f>14.934/0.702804</f>
        <v>21.249167619990779</v>
      </c>
      <c r="D6" s="3">
        <f>12.287/0.702804</f>
        <v>17.482825937245664</v>
      </c>
      <c r="E6" s="3">
        <f>7.004/0.702804</f>
        <v>9.9657941616723864</v>
      </c>
      <c r="F6" s="3">
        <f>6.838/0.702804</f>
        <v>9.7295974411073356</v>
      </c>
      <c r="G6" s="3">
        <f>7.654/0.702804</f>
        <v>10.890660838583731</v>
      </c>
      <c r="H6" s="3">
        <f>8.429/0.702804</f>
        <v>11.993386491824179</v>
      </c>
      <c r="I6" s="3">
        <v>11.574</v>
      </c>
      <c r="J6" s="3">
        <v>12.657</v>
      </c>
      <c r="K6" s="3">
        <v>14.173</v>
      </c>
      <c r="L6" s="3">
        <v>16.009</v>
      </c>
      <c r="M6" s="13">
        <v>17.908999999999999</v>
      </c>
      <c r="N6" s="11">
        <v>16.649000000000001</v>
      </c>
      <c r="O6" s="15">
        <v>17.315000000000001</v>
      </c>
      <c r="P6" s="15">
        <f>5322636/1000000</f>
        <v>5.3226360000000001</v>
      </c>
      <c r="Q6" s="15">
        <f>1569319.5/1000000</f>
        <v>1.5693195</v>
      </c>
      <c r="R6" s="15">
        <f>8200898/1000000</f>
        <v>8.2008980000000005</v>
      </c>
      <c r="S6" s="15">
        <f>11079837/1000000</f>
        <v>11.079836999999999</v>
      </c>
      <c r="T6" s="15">
        <f>12252990/1000000</f>
        <v>12.25299</v>
      </c>
    </row>
    <row r="7" spans="2:20" ht="21" customHeight="1" x14ac:dyDescent="0.3">
      <c r="B7" s="4" t="s">
        <v>16</v>
      </c>
      <c r="C7" s="5">
        <f>1.35/0.702804</f>
        <v>1.9208769443543294</v>
      </c>
      <c r="D7" s="3">
        <f>1.255/0.702804</f>
        <v>1.7857041223442096</v>
      </c>
      <c r="E7" s="3">
        <f>0.665/0.702804</f>
        <v>0.9462097540708363</v>
      </c>
      <c r="F7" s="3">
        <f>0.497/0.702804</f>
        <v>0.70716728988451971</v>
      </c>
      <c r="G7" s="3">
        <f>0.504/0.702804</f>
        <v>0.71712739255894964</v>
      </c>
      <c r="H7" s="3">
        <f>0.326/0.702804</f>
        <v>0.46385621026630469</v>
      </c>
      <c r="I7" s="3">
        <v>0.34300000000000003</v>
      </c>
      <c r="J7" s="3">
        <v>0.374</v>
      </c>
      <c r="K7" s="3">
        <v>0.35399999999999998</v>
      </c>
      <c r="L7" s="3">
        <v>0.33300000000000002</v>
      </c>
      <c r="M7" s="13">
        <v>0.28299999999999997</v>
      </c>
      <c r="N7" s="11">
        <v>0.215</v>
      </c>
      <c r="O7" s="15">
        <v>0.23200000000000001</v>
      </c>
      <c r="P7" s="15">
        <f>121255/1000000</f>
        <v>0.121255</v>
      </c>
      <c r="Q7" s="15">
        <f>-2406/1000000</f>
        <v>-2.4060000000000002E-3</v>
      </c>
      <c r="R7" s="15">
        <f>79693/1000000</f>
        <v>7.9693E-2</v>
      </c>
      <c r="S7" s="15">
        <f>101278/1000000</f>
        <v>0.10127800000000001</v>
      </c>
      <c r="T7" s="15">
        <f>97096/1000000</f>
        <v>9.7096000000000002E-2</v>
      </c>
    </row>
    <row r="8" spans="2:20" x14ac:dyDescent="0.3">
      <c r="B8" s="1" t="s">
        <v>17</v>
      </c>
      <c r="C8" s="2">
        <f>8.257/0.702804</f>
        <v>11.74865254039533</v>
      </c>
      <c r="D8" s="3">
        <f>10.168/0.702804</f>
        <v>14.467760570514681</v>
      </c>
      <c r="E8" s="3">
        <f>0.803/0.702804</f>
        <v>1.1425660639381678</v>
      </c>
      <c r="F8" s="3">
        <f>1.041/0.702804</f>
        <v>1.4812095548687827</v>
      </c>
      <c r="G8" s="3">
        <f>1.448/0.702804</f>
        <v>2.0603183817963471</v>
      </c>
      <c r="H8" s="3">
        <f>2.064/0.702804</f>
        <v>2.9368074171461744</v>
      </c>
      <c r="I8" s="3">
        <v>1.504</v>
      </c>
      <c r="J8" s="3">
        <v>1.5980000000000001</v>
      </c>
      <c r="K8" s="3">
        <v>1.875</v>
      </c>
      <c r="L8" s="3">
        <v>2.125</v>
      </c>
      <c r="M8" s="13">
        <v>2.387</v>
      </c>
      <c r="N8" s="11">
        <v>2.7589999999999999</v>
      </c>
      <c r="O8" s="15">
        <v>3.2229999999999999</v>
      </c>
      <c r="P8" s="15">
        <f>1561066/1000000</f>
        <v>1.5610660000000001</v>
      </c>
      <c r="Q8" s="15">
        <f>244916/1000000</f>
        <v>0.24491599999999999</v>
      </c>
      <c r="R8" s="15">
        <f>1377193/1000000</f>
        <v>1.3771929999999999</v>
      </c>
      <c r="S8" s="15">
        <f>1669093/1000000</f>
        <v>1.6690929999999999</v>
      </c>
      <c r="T8" s="15">
        <f>2211946.12/1000000</f>
        <v>2.2119461199999999</v>
      </c>
    </row>
    <row r="9" spans="2:20" x14ac:dyDescent="0.3">
      <c r="B9" s="1" t="s">
        <v>20</v>
      </c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2.097</v>
      </c>
      <c r="J9" s="3">
        <v>5.7569999999999997</v>
      </c>
      <c r="K9" s="3">
        <v>11.456</v>
      </c>
      <c r="L9" s="3">
        <v>18.32</v>
      </c>
      <c r="M9" s="13">
        <v>28.288</v>
      </c>
      <c r="N9" s="11">
        <v>41.155000000000001</v>
      </c>
      <c r="O9" s="15">
        <v>54.683999999999997</v>
      </c>
      <c r="P9" s="15">
        <f>56854256/1000000</f>
        <v>56.854255999999999</v>
      </c>
      <c r="Q9" s="15">
        <f>109054058/1000000</f>
        <v>109.054058</v>
      </c>
      <c r="R9" s="15">
        <f>123987705.34/1000000</f>
        <v>123.98770534000001</v>
      </c>
      <c r="S9" s="15">
        <f>136785860/1000000</f>
        <v>136.78586000000001</v>
      </c>
      <c r="T9" s="15">
        <f>153911284.1/1000000</f>
        <v>153.91128409999999</v>
      </c>
    </row>
    <row r="10" spans="2:20" x14ac:dyDescent="0.3">
      <c r="B10" s="1" t="s">
        <v>18</v>
      </c>
      <c r="C10" s="2">
        <f>0.628/0.702804</f>
        <v>0.89356349707742133</v>
      </c>
      <c r="D10" s="3">
        <f>1.517/0.702804</f>
        <v>2.1584965367300128</v>
      </c>
      <c r="E10" s="3">
        <f>3.031/0.702804</f>
        <v>4.3127244580281276</v>
      </c>
      <c r="F10" s="3">
        <f>0.845/0.702804</f>
        <v>1.2023266799847467</v>
      </c>
      <c r="G10" s="3">
        <f>0.337/0.702804</f>
        <v>0.47950780018326594</v>
      </c>
      <c r="H10" s="3">
        <f>0.08/0.702804</f>
        <v>0.11382974485062693</v>
      </c>
      <c r="I10" s="3">
        <v>0</v>
      </c>
      <c r="J10" s="3">
        <v>0</v>
      </c>
      <c r="K10" s="3">
        <v>0</v>
      </c>
      <c r="L10" s="3">
        <v>0</v>
      </c>
      <c r="M10" s="13">
        <v>0</v>
      </c>
      <c r="N10" s="14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</row>
    <row r="11" spans="2:20" x14ac:dyDescent="0.3">
      <c r="B11" s="6" t="s">
        <v>19</v>
      </c>
      <c r="C11" s="7">
        <f>SUM(C5:C10)</f>
        <v>250.08110369320607</v>
      </c>
      <c r="D11" s="7">
        <f t="shared" ref="D11:O11" si="0">SUM(D5:D10)</f>
        <v>220.4085349542689</v>
      </c>
      <c r="E11" s="7">
        <f t="shared" si="0"/>
        <v>117.57189771259127</v>
      </c>
      <c r="F11" s="7">
        <f t="shared" si="0"/>
        <v>113.88239110762034</v>
      </c>
      <c r="G11" s="7">
        <f t="shared" si="0"/>
        <v>132.39822197938543</v>
      </c>
      <c r="H11" s="7">
        <f t="shared" si="0"/>
        <v>150.33352115241232</v>
      </c>
      <c r="I11" s="7">
        <f t="shared" si="0"/>
        <v>157.56299999999999</v>
      </c>
      <c r="J11" s="7">
        <f t="shared" si="0"/>
        <v>172.88800000000003</v>
      </c>
      <c r="K11" s="7">
        <f t="shared" si="0"/>
        <v>201.755</v>
      </c>
      <c r="L11" s="7">
        <f t="shared" si="0"/>
        <v>218.84700000000001</v>
      </c>
      <c r="M11" s="7">
        <f t="shared" si="0"/>
        <v>248.619</v>
      </c>
      <c r="N11" s="7">
        <f t="shared" si="0"/>
        <v>277.70100000000002</v>
      </c>
      <c r="O11" s="7">
        <f t="shared" si="0"/>
        <v>307.05</v>
      </c>
      <c r="P11" s="7">
        <f>SUM(P5:P10)</f>
        <v>159.64746300000002</v>
      </c>
      <c r="Q11" s="7">
        <f>SUM(Q5:Q10)</f>
        <v>128.04388449999999</v>
      </c>
      <c r="R11" s="7">
        <f>SUM(R5:R10)</f>
        <v>264.77496824000002</v>
      </c>
      <c r="S11" s="7">
        <f>SUM(S5:S10)</f>
        <v>288.63273200000003</v>
      </c>
      <c r="T11" s="7">
        <f>SUM(T5:T10)</f>
        <v>299.44416173000002</v>
      </c>
    </row>
    <row r="24" spans="17:17" x14ac:dyDescent="0.3">
      <c r="Q24" t="s">
        <v>13</v>
      </c>
    </row>
    <row r="39" spans="2:2" x14ac:dyDescent="0.3">
      <c r="B39" t="s">
        <v>11</v>
      </c>
    </row>
  </sheetData>
  <mergeCells count="1">
    <mergeCell ref="C2:L2"/>
  </mergeCells>
  <pageMargins left="0" right="0" top="0" bottom="0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a370253f8166eb7d86ca4d946f67ece3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6fe81f697f48b506490325a501c28a9b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49A08D-1C0C-4D4E-8A96-5F79DB4AF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98111-DFBE-45DC-BCEC-838F4EAB3F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0F424-D4A1-4ABE-B6AE-C3E818BA78E0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Liepiņa</dc:creator>
  <cp:lastModifiedBy>Diāna Ruņģe</cp:lastModifiedBy>
  <cp:lastPrinted>2019-03-25T11:31:46Z</cp:lastPrinted>
  <dcterms:created xsi:type="dcterms:W3CDTF">2018-03-19T08:30:47Z</dcterms:created>
  <dcterms:modified xsi:type="dcterms:W3CDTF">2025-03-31T10:45:17Z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